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8050" windowHeight="13710" activeTab="0"/>
  </bookViews>
  <sheets>
    <sheet name="NewFCFE2Stage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Aswath Damodaran</author>
  </authors>
  <commentList>
    <comment ref="E1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All of the inputs will growa this rate for the high growth period.</t>
        </r>
      </text>
    </comment>
    <comment ref="D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New Debt issues - Principal repayments: Will be negative number if latter is higher than former.</t>
        </r>
      </text>
    </comment>
    <comment ref="E20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want to be conservative, set this equal to your cost of equity in stable growth (see below).</t>
        </r>
      </text>
    </comment>
    <comment ref="H25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enter a number less than the cost of equity, you are assuming that the management of this company will take poor investments with this cash.</t>
        </r>
      </text>
    </comment>
  </commentList>
</comments>
</file>

<file path=xl/sharedStrings.xml><?xml version="1.0" encoding="utf-8"?>
<sst xmlns="http://schemas.openxmlformats.org/spreadsheetml/2006/main" count="71" uniqueCount="63">
  <si>
    <t>Net Income</t>
  </si>
  <si>
    <t xml:space="preserve"> - Change in Working Capital</t>
  </si>
  <si>
    <t>To reconcile the dividend discount model and the FCFE model, you have to input the following:</t>
  </si>
  <si>
    <t xml:space="preserve"> + Net Debt Cash flow</t>
  </si>
  <si>
    <t>Cash Build up (invested at specified rate)</t>
  </si>
  <si>
    <t>(in currency)</t>
  </si>
  <si>
    <t>Dividends</t>
  </si>
  <si>
    <t>FCFE</t>
  </si>
  <si>
    <t>DDM</t>
  </si>
  <si>
    <t>Additional cash build up over high growth period =</t>
  </si>
  <si>
    <t xml:space="preserve">FCFE </t>
  </si>
  <si>
    <t>PV of FCFE</t>
  </si>
  <si>
    <t>PV of Dividends</t>
  </si>
  <si>
    <t>Present Value of Cash build up in terminal year =</t>
  </si>
  <si>
    <t>Current Net Income =</t>
  </si>
  <si>
    <t>Current Dividends =</t>
  </si>
  <si>
    <t>Current Capital Expenditures =</t>
  </si>
  <si>
    <t>Current Depreciation</t>
  </si>
  <si>
    <t>Net Debt Cashflow =</t>
  </si>
  <si>
    <t>Current Working Capital =</t>
  </si>
  <si>
    <t>Inputs for cost of equity</t>
  </si>
  <si>
    <t>Inputs for FCFE Calculation</t>
  </si>
  <si>
    <t>Enter growth rate for high growth period =</t>
  </si>
  <si>
    <t xml:space="preserve">Cash builds up gets invested at </t>
  </si>
  <si>
    <t>Return on equity in stable growth =</t>
  </si>
  <si>
    <t xml:space="preserve"> - (CapEx-Depreciation)</t>
  </si>
  <si>
    <t>Current Revenue =</t>
  </si>
  <si>
    <t>Net Income  =</t>
  </si>
  <si>
    <t>Expected growth rate in net income =</t>
  </si>
  <si>
    <t>Comparing DDM and FCFE Models: Two Stage Valuation</t>
  </si>
  <si>
    <t>Do you want to assume that the cash buildup that will occur if dividends &lt; FCFE get reinvested at the cost of equity =</t>
  </si>
  <si>
    <t>If not, enter the rate of return you expect to earn on this cash (assuming that it is invested at current risk level) =</t>
  </si>
  <si>
    <t>FCFE (Dividends) in Stable Phase =</t>
  </si>
  <si>
    <t>Enter growth rate in stable growth period?</t>
  </si>
  <si>
    <t>Will the beta to change in the stable period?</t>
  </si>
  <si>
    <t>If yes, enter the beta for stable period =</t>
  </si>
  <si>
    <t>High Growth</t>
  </si>
  <si>
    <t>Stable Growth</t>
  </si>
  <si>
    <t>Growth Rate in capital spending, depreciation and working capital</t>
  </si>
  <si>
    <t>Growth rate in capital spending =</t>
  </si>
  <si>
    <t>Growth rate in depreciation =</t>
  </si>
  <si>
    <t>Growth rate in revenues =</t>
  </si>
  <si>
    <t>Working Capital as percent of revenues =</t>
  </si>
  <si>
    <t xml:space="preserve"> (in percent)</t>
  </si>
  <si>
    <t>The FCFE for the high growth phase are shown below (upto 6 years)</t>
  </si>
  <si>
    <t>Terminal Year</t>
  </si>
  <si>
    <t>Free Cashflow to Equity</t>
  </si>
  <si>
    <t>Growth Rate in Stable Phase =</t>
  </si>
  <si>
    <t>Cost of Equity in Stable Phase =</t>
  </si>
  <si>
    <t>Price at the end of growth phase =</t>
  </si>
  <si>
    <t>Present Value of FCFE in high growth phase =</t>
  </si>
  <si>
    <t>Present Value of Terminal Price =</t>
  </si>
  <si>
    <t>Value of the stock =</t>
  </si>
  <si>
    <t>Output from the program</t>
  </si>
  <si>
    <t>Cost of Equity =</t>
  </si>
  <si>
    <t>Enter length of extraordinary growth period =</t>
  </si>
  <si>
    <t>(in years)</t>
  </si>
  <si>
    <t>No</t>
  </si>
  <si>
    <t>(Yes or No)</t>
  </si>
  <si>
    <t>(in percent)</t>
  </si>
  <si>
    <t>Beta of the stock =</t>
  </si>
  <si>
    <t>Riskfree rate=</t>
  </si>
  <si>
    <t>Risk Premium=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</si>
</sst>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5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8"/>
      <name val="Times"/>
      <family val="0"/>
    </font>
    <font>
      <sz val="14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sz val="14"/>
      <name val="Times"/>
      <family val="0"/>
    </font>
    <font>
      <sz val="9"/>
      <name val="Geneva"/>
      <family val="0"/>
    </font>
    <font>
      <b/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b/>
      <i/>
      <sz val="10"/>
      <name val="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67" fontId="6" fillId="0" borderId="10" xfId="42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6" fillId="0" borderId="11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67" fontId="7" fillId="0" borderId="0" xfId="42" applyFont="1" applyAlignment="1">
      <alignment horizontal="center"/>
    </xf>
    <xf numFmtId="167" fontId="7" fillId="0" borderId="10" xfId="42" applyFont="1" applyBorder="1" applyAlignment="1">
      <alignment horizontal="center"/>
    </xf>
    <xf numFmtId="167" fontId="6" fillId="33" borderId="10" xfId="42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9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167" fontId="7" fillId="0" borderId="0" xfId="42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7" fontId="6" fillId="0" borderId="1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67" fontId="7" fillId="34" borderId="10" xfId="42" applyFont="1" applyFill="1" applyBorder="1" applyAlignment="1">
      <alignment horizontal="center"/>
    </xf>
    <xf numFmtId="167" fontId="6" fillId="34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10" fontId="6" fillId="34" borderId="14" xfId="0" applyNumberFormat="1" applyFont="1" applyFill="1" applyBorder="1" applyAlignment="1">
      <alignment horizontal="center"/>
    </xf>
    <xf numFmtId="10" fontId="6" fillId="34" borderId="15" xfId="0" applyNumberFormat="1" applyFont="1" applyFill="1" applyBorder="1" applyAlignment="1">
      <alignment horizontal="center"/>
    </xf>
    <xf numFmtId="167" fontId="6" fillId="34" borderId="14" xfId="42" applyFont="1" applyFill="1" applyBorder="1" applyAlignment="1">
      <alignment horizontal="center"/>
    </xf>
    <xf numFmtId="167" fontId="6" fillId="34" borderId="15" xfId="0" applyNumberFormat="1" applyFont="1" applyFill="1" applyBorder="1" applyAlignment="1">
      <alignment horizontal="center"/>
    </xf>
    <xf numFmtId="167" fontId="7" fillId="34" borderId="14" xfId="42" applyFont="1" applyFill="1" applyBorder="1" applyAlignment="1">
      <alignment horizontal="center"/>
    </xf>
    <xf numFmtId="172" fontId="7" fillId="34" borderId="15" xfId="0" applyNumberFormat="1" applyFont="1" applyFill="1" applyBorder="1" applyAlignment="1">
      <alignment horizontal="center"/>
    </xf>
    <xf numFmtId="167" fontId="7" fillId="34" borderId="16" xfId="42" applyFont="1" applyFill="1" applyBorder="1" applyAlignment="1">
      <alignment horizontal="center"/>
    </xf>
    <xf numFmtId="172" fontId="7" fillId="34" borderId="17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PageLayoutView="0" workbookViewId="0" topLeftCell="A1">
      <selection activeCell="Q1" sqref="Q1"/>
    </sheetView>
  </sheetViews>
  <sheetFormatPr defaultColWidth="9.00390625" defaultRowHeight="12.75"/>
  <cols>
    <col min="1" max="1" width="2.75390625" style="0" customWidth="1"/>
    <col min="2" max="8" width="12.75390625" style="0" customWidth="1"/>
    <col min="9" max="16384" width="11.375" style="0" customWidth="1"/>
  </cols>
  <sheetData>
    <row r="1" spans="2:9" ht="19.5" customHeight="1">
      <c r="B1" s="1" t="s">
        <v>29</v>
      </c>
      <c r="C1" s="2"/>
      <c r="D1" s="2"/>
      <c r="E1" s="2"/>
      <c r="F1" s="2"/>
      <c r="G1" s="2"/>
      <c r="H1" s="2"/>
      <c r="I1" s="2"/>
    </row>
    <row r="2" spans="1:9" s="4" customFormat="1" ht="19.5" customHeight="1">
      <c r="A2" s="5"/>
      <c r="B2" s="37" t="s">
        <v>21</v>
      </c>
      <c r="C2" s="5"/>
      <c r="D2" s="5"/>
      <c r="E2" s="36"/>
      <c r="F2" s="5"/>
      <c r="G2" s="5"/>
      <c r="H2" s="5"/>
      <c r="I2" s="5"/>
    </row>
    <row r="3" spans="2:5" s="4" customFormat="1" ht="19.5" customHeight="1">
      <c r="B3" s="4" t="s">
        <v>14</v>
      </c>
      <c r="D3" s="22">
        <v>100</v>
      </c>
      <c r="E3" s="8" t="s">
        <v>5</v>
      </c>
    </row>
    <row r="4" spans="2:5" s="4" customFormat="1" ht="19.5" customHeight="1">
      <c r="B4" s="4" t="s">
        <v>15</v>
      </c>
      <c r="D4" s="22">
        <v>30</v>
      </c>
      <c r="E4" s="8" t="s">
        <v>5</v>
      </c>
    </row>
    <row r="5" spans="2:5" s="4" customFormat="1" ht="19.5" customHeight="1">
      <c r="B5" s="4" t="s">
        <v>16</v>
      </c>
      <c r="D5" s="22">
        <v>75</v>
      </c>
      <c r="E5" s="8" t="s">
        <v>5</v>
      </c>
    </row>
    <row r="6" spans="2:5" s="4" customFormat="1" ht="19.5" customHeight="1">
      <c r="B6" s="4" t="s">
        <v>17</v>
      </c>
      <c r="D6" s="22">
        <v>50</v>
      </c>
      <c r="E6" s="8" t="s">
        <v>5</v>
      </c>
    </row>
    <row r="7" spans="2:5" s="4" customFormat="1" ht="19.5" customHeight="1">
      <c r="B7" s="4" t="s">
        <v>26</v>
      </c>
      <c r="D7" s="22">
        <v>1000</v>
      </c>
      <c r="E7" s="8"/>
    </row>
    <row r="8" spans="2:5" s="4" customFormat="1" ht="19.5" customHeight="1">
      <c r="B8" s="4" t="s">
        <v>19</v>
      </c>
      <c r="D8" s="22">
        <v>50</v>
      </c>
      <c r="E8" s="8" t="s">
        <v>5</v>
      </c>
    </row>
    <row r="9" spans="2:5" s="4" customFormat="1" ht="19.5" customHeight="1">
      <c r="B9" s="4" t="s">
        <v>18</v>
      </c>
      <c r="D9" s="22">
        <v>10</v>
      </c>
      <c r="E9" s="8"/>
    </row>
    <row r="10" s="4" customFormat="1" ht="19.5" customHeight="1">
      <c r="E10" s="8"/>
    </row>
    <row r="11" spans="2:6" s="4" customFormat="1" ht="19.5" customHeight="1">
      <c r="B11" s="4" t="s">
        <v>55</v>
      </c>
      <c r="E11" s="23">
        <v>5</v>
      </c>
      <c r="F11" s="8" t="s">
        <v>56</v>
      </c>
    </row>
    <row r="12" spans="2:6" s="4" customFormat="1" ht="19.5" customHeight="1">
      <c r="B12" s="4" t="s">
        <v>22</v>
      </c>
      <c r="E12" s="24">
        <v>0.1</v>
      </c>
      <c r="F12" s="8"/>
    </row>
    <row r="13" s="4" customFormat="1" ht="19.5" customHeight="1"/>
    <row r="14" spans="2:6" s="4" customFormat="1" ht="19.5" customHeight="1">
      <c r="B14" s="7" t="s">
        <v>20</v>
      </c>
      <c r="F14" s="8"/>
    </row>
    <row r="15" spans="2:6" s="4" customFormat="1" ht="19.5" customHeight="1">
      <c r="B15" s="4" t="s">
        <v>60</v>
      </c>
      <c r="D15" s="25">
        <v>1</v>
      </c>
      <c r="F15" s="8"/>
    </row>
    <row r="16" spans="2:6" s="4" customFormat="1" ht="19.5" customHeight="1">
      <c r="B16" s="4" t="s">
        <v>61</v>
      </c>
      <c r="D16" s="24">
        <v>0.05</v>
      </c>
      <c r="E16" s="8" t="s">
        <v>59</v>
      </c>
      <c r="F16" s="8"/>
    </row>
    <row r="17" spans="2:6" s="4" customFormat="1" ht="19.5" customHeight="1">
      <c r="B17" s="4" t="s">
        <v>62</v>
      </c>
      <c r="D17" s="24">
        <v>0.04</v>
      </c>
      <c r="E17" s="8" t="s">
        <v>59</v>
      </c>
      <c r="F17" s="8"/>
    </row>
    <row r="18" spans="4:6" s="4" customFormat="1" ht="19.5" customHeight="1">
      <c r="D18" s="11"/>
      <c r="E18" s="8"/>
      <c r="F18" s="8"/>
    </row>
    <row r="19" spans="2:6" s="4" customFormat="1" ht="19.5" customHeight="1">
      <c r="B19" s="4" t="s">
        <v>33</v>
      </c>
      <c r="E19" s="24">
        <v>0.04</v>
      </c>
      <c r="F19" s="8" t="s">
        <v>59</v>
      </c>
    </row>
    <row r="20" spans="2:6" s="4" customFormat="1" ht="19.5" customHeight="1">
      <c r="B20" s="4" t="s">
        <v>24</v>
      </c>
      <c r="E20" s="24">
        <v>0.12</v>
      </c>
      <c r="F20" s="8"/>
    </row>
    <row r="21" spans="2:6" s="4" customFormat="1" ht="19.5" customHeight="1">
      <c r="B21" s="4" t="s">
        <v>34</v>
      </c>
      <c r="E21" s="26" t="s">
        <v>57</v>
      </c>
      <c r="F21" s="8" t="s">
        <v>58</v>
      </c>
    </row>
    <row r="22" spans="2:6" s="4" customFormat="1" ht="19.5" customHeight="1">
      <c r="B22" s="4" t="s">
        <v>35</v>
      </c>
      <c r="E22" s="26">
        <v>1</v>
      </c>
      <c r="F22" s="8"/>
    </row>
    <row r="23" spans="2:15" s="4" customFormat="1" ht="19.5" customHeight="1">
      <c r="B23" s="7"/>
      <c r="C23" s="57" t="s">
        <v>2</v>
      </c>
      <c r="D23" s="57"/>
      <c r="E23" s="57"/>
      <c r="F23" s="57"/>
      <c r="G23" s="57"/>
      <c r="H23" s="7"/>
      <c r="I23" s="7"/>
      <c r="J23" s="7"/>
      <c r="K23" s="7"/>
      <c r="L23" s="7"/>
      <c r="M23" s="7"/>
      <c r="N23" s="7"/>
      <c r="O23" s="7"/>
    </row>
    <row r="24" spans="2:8" s="4" customFormat="1" ht="19.5" customHeight="1">
      <c r="B24" s="4" t="s">
        <v>30</v>
      </c>
      <c r="E24" s="13"/>
      <c r="F24" s="13"/>
      <c r="G24" s="8"/>
      <c r="H24" s="26" t="s">
        <v>57</v>
      </c>
    </row>
    <row r="25" spans="2:8" s="4" customFormat="1" ht="19.5" customHeight="1">
      <c r="B25" s="4" t="s">
        <v>31</v>
      </c>
      <c r="E25" s="13"/>
      <c r="F25" s="13"/>
      <c r="G25" s="8"/>
      <c r="H25" s="27">
        <v>0.07</v>
      </c>
    </row>
    <row r="26" spans="5:8" s="4" customFormat="1" ht="19.5" customHeight="1">
      <c r="E26" s="13"/>
      <c r="F26" s="13"/>
      <c r="G26" s="8"/>
      <c r="H26" s="38"/>
    </row>
    <row r="27" spans="1:9" s="29" customFormat="1" ht="19.5" customHeight="1">
      <c r="A27" s="3"/>
      <c r="B27" s="28" t="s">
        <v>53</v>
      </c>
      <c r="C27" s="3"/>
      <c r="D27" s="3"/>
      <c r="E27" s="3"/>
      <c r="F27" s="3"/>
      <c r="G27" s="3"/>
      <c r="H27" s="3"/>
      <c r="I27" s="3"/>
    </row>
    <row r="28" spans="2:6" s="4" customFormat="1" ht="19.5" customHeight="1">
      <c r="B28" s="4" t="s">
        <v>54</v>
      </c>
      <c r="D28" s="10">
        <f>D16+D15*D17</f>
        <v>0.09</v>
      </c>
      <c r="E28" s="8"/>
      <c r="F28" s="8"/>
    </row>
    <row r="29" spans="5:6" s="4" customFormat="1" ht="19.5" customHeight="1">
      <c r="E29" s="8"/>
      <c r="F29" s="8"/>
    </row>
    <row r="30" spans="4:5" s="4" customFormat="1" ht="19.5" customHeight="1">
      <c r="D30" s="8"/>
      <c r="E30" s="8"/>
    </row>
    <row r="31" spans="2:6" s="4" customFormat="1" ht="19.5" customHeight="1">
      <c r="B31" s="4" t="s">
        <v>27</v>
      </c>
      <c r="D31" s="12">
        <f>D3</f>
        <v>100</v>
      </c>
      <c r="E31" s="8"/>
      <c r="F31" s="8"/>
    </row>
    <row r="32" spans="2:6" s="7" customFormat="1" ht="19.5" customHeight="1">
      <c r="B32" s="4" t="s">
        <v>28</v>
      </c>
      <c r="D32" s="16">
        <f>E12</f>
        <v>0.1</v>
      </c>
      <c r="E32" s="15"/>
      <c r="F32" s="15"/>
    </row>
    <row r="33" spans="4:6" s="7" customFormat="1" ht="19.5" customHeight="1">
      <c r="D33" s="17"/>
      <c r="E33" s="15"/>
      <c r="F33" s="15"/>
    </row>
    <row r="34" spans="2:6" s="7" customFormat="1" ht="19.5" customHeight="1">
      <c r="B34" s="4" t="s">
        <v>38</v>
      </c>
      <c r="D34" s="17"/>
      <c r="E34" s="15"/>
      <c r="F34" s="15"/>
    </row>
    <row r="35" spans="2:6" s="7" customFormat="1" ht="19.5" customHeight="1">
      <c r="B35" s="4"/>
      <c r="D35" s="17" t="s">
        <v>36</v>
      </c>
      <c r="E35" s="15" t="s">
        <v>37</v>
      </c>
      <c r="F35" s="15"/>
    </row>
    <row r="36" spans="2:6" s="7" customFormat="1" ht="19.5" customHeight="1">
      <c r="B36" s="4" t="s">
        <v>39</v>
      </c>
      <c r="D36" s="10">
        <f>D32</f>
        <v>0.1</v>
      </c>
      <c r="E36" s="10">
        <f>E19</f>
        <v>0.04</v>
      </c>
      <c r="F36" s="15"/>
    </row>
    <row r="37" spans="2:6" s="7" customFormat="1" ht="19.5" customHeight="1">
      <c r="B37" s="4" t="s">
        <v>40</v>
      </c>
      <c r="D37" s="10">
        <f>D32</f>
        <v>0.1</v>
      </c>
      <c r="E37" s="10">
        <f>E19</f>
        <v>0.04</v>
      </c>
      <c r="F37" s="15"/>
    </row>
    <row r="38" spans="2:6" s="4" customFormat="1" ht="19.5" customHeight="1">
      <c r="B38" s="4" t="s">
        <v>41</v>
      </c>
      <c r="D38" s="18">
        <f>D32</f>
        <v>0.1</v>
      </c>
      <c r="E38" s="10">
        <f>E19</f>
        <v>0.04</v>
      </c>
      <c r="F38" s="8"/>
    </row>
    <row r="39" spans="4:6" s="4" customFormat="1" ht="19.5" customHeight="1">
      <c r="D39" s="19"/>
      <c r="E39" s="11"/>
      <c r="F39" s="8"/>
    </row>
    <row r="40" spans="2:6" s="4" customFormat="1" ht="19.5" customHeight="1">
      <c r="B40" s="4" t="s">
        <v>42</v>
      </c>
      <c r="D40" s="19"/>
      <c r="E40" s="10">
        <f>D8/D7</f>
        <v>0.05</v>
      </c>
      <c r="F40" s="8" t="s">
        <v>43</v>
      </c>
    </row>
    <row r="41" spans="2:6" s="4" customFormat="1" ht="19.5" customHeight="1">
      <c r="B41" s="4" t="s">
        <v>23</v>
      </c>
      <c r="D41" s="19"/>
      <c r="E41" s="10">
        <f>IF(H24="Yes",D28,H25)</f>
        <v>0.07</v>
      </c>
      <c r="F41" s="8"/>
    </row>
    <row r="42" spans="2:6" s="4" customFormat="1" ht="19.5" customHeight="1">
      <c r="B42" s="7" t="s">
        <v>44</v>
      </c>
      <c r="E42" s="11"/>
      <c r="F42" s="8"/>
    </row>
    <row r="43" spans="2:14" s="4" customFormat="1" ht="19.5" customHeight="1">
      <c r="B43" s="13"/>
      <c r="C43" s="13"/>
      <c r="D43" s="33">
        <f>IF(E11=0," ",1)</f>
        <v>1</v>
      </c>
      <c r="E43" s="33">
        <f>IF(E11=1," ",2)</f>
        <v>2</v>
      </c>
      <c r="F43" s="39">
        <f>IF(E11&lt;3," ",3)</f>
        <v>3</v>
      </c>
      <c r="G43" s="33">
        <f>IF(E11&lt;4," ",4)</f>
        <v>4</v>
      </c>
      <c r="H43" s="33">
        <f>IF(E11&lt;5," ",5)</f>
        <v>5</v>
      </c>
      <c r="I43" s="33" t="str">
        <f>IF($E$11&lt;6," ",6)</f>
        <v> </v>
      </c>
      <c r="J43" s="33" t="str">
        <f>IF($E$11&lt;7," ",7)</f>
        <v> </v>
      </c>
      <c r="K43" s="33" t="str">
        <f>IF($E$11&lt;8," ",8)</f>
        <v> </v>
      </c>
      <c r="L43" s="33" t="str">
        <f>IF($E$11&lt;9," ",9)</f>
        <v> </v>
      </c>
      <c r="M43" s="33" t="str">
        <f>IF($E$11&lt;10," ",10)</f>
        <v> </v>
      </c>
      <c r="N43" s="34" t="s">
        <v>45</v>
      </c>
    </row>
    <row r="44" spans="2:14" s="4" customFormat="1" ht="19.5" customHeight="1">
      <c r="B44" s="40" t="s">
        <v>0</v>
      </c>
      <c r="C44" s="13"/>
      <c r="D44" s="9">
        <f>IF($E$11&lt;1," ",$D$31*(1+D32))</f>
        <v>110.00000000000001</v>
      </c>
      <c r="E44" s="9">
        <f aca="true" t="shared" si="0" ref="E44:M44">IF($E$11&lt;E43," ",D44*(1+$D$32))</f>
        <v>121.00000000000003</v>
      </c>
      <c r="F44" s="9">
        <f t="shared" si="0"/>
        <v>133.10000000000005</v>
      </c>
      <c r="G44" s="9">
        <f t="shared" si="0"/>
        <v>146.41000000000008</v>
      </c>
      <c r="H44" s="9">
        <f t="shared" si="0"/>
        <v>161.0510000000001</v>
      </c>
      <c r="I44" s="9" t="str">
        <f t="shared" si="0"/>
        <v> </v>
      </c>
      <c r="J44" s="9" t="str">
        <f t="shared" si="0"/>
        <v> </v>
      </c>
      <c r="K44" s="9" t="str">
        <f t="shared" si="0"/>
        <v> </v>
      </c>
      <c r="L44" s="9" t="str">
        <f t="shared" si="0"/>
        <v> </v>
      </c>
      <c r="M44" s="9" t="str">
        <f t="shared" si="0"/>
        <v> </v>
      </c>
      <c r="N44" s="9">
        <f>D31*(1+D32)^E11*(1+E55)</f>
        <v>167.49304000000006</v>
      </c>
    </row>
    <row r="45" spans="2:14" s="4" customFormat="1" ht="19.5" customHeight="1">
      <c r="B45" s="40" t="s">
        <v>25</v>
      </c>
      <c r="C45" s="41"/>
      <c r="D45" s="9">
        <f aca="true" t="shared" si="1" ref="D45:M45">IF($E$11&lt;D43," ",($D$5*(1+$D$36)^D43-$D$6*(1+$D$37)^D43))</f>
        <v>27.499999999999993</v>
      </c>
      <c r="E45" s="9">
        <f t="shared" si="1"/>
        <v>30.250000000000007</v>
      </c>
      <c r="F45" s="9">
        <f t="shared" si="1"/>
        <v>33.275000000000006</v>
      </c>
      <c r="G45" s="9">
        <f t="shared" si="1"/>
        <v>36.602500000000006</v>
      </c>
      <c r="H45" s="9">
        <f t="shared" si="1"/>
        <v>40.262750000000025</v>
      </c>
      <c r="I45" s="9" t="str">
        <f t="shared" si="1"/>
        <v> </v>
      </c>
      <c r="J45" s="9" t="str">
        <f t="shared" si="1"/>
        <v> </v>
      </c>
      <c r="K45" s="9" t="str">
        <f t="shared" si="1"/>
        <v> </v>
      </c>
      <c r="L45" s="9" t="str">
        <f t="shared" si="1"/>
        <v> </v>
      </c>
      <c r="M45" s="9" t="str">
        <f t="shared" si="1"/>
        <v> </v>
      </c>
      <c r="N45" s="9">
        <f>(E55/E20)*N44-N46+N47</f>
        <v>69.35929733333337</v>
      </c>
    </row>
    <row r="46" spans="2:14" s="4" customFormat="1" ht="19.5" customHeight="1">
      <c r="B46" s="40" t="s">
        <v>1</v>
      </c>
      <c r="C46" s="31"/>
      <c r="D46" s="9">
        <f aca="true" t="shared" si="2" ref="D46:M46">IF($E$11&lt;D43," ",($D$7*$E$40*((1+$D$38)^D43-(1+$D$38)^(D43-1))))</f>
        <v>5.000000000000004</v>
      </c>
      <c r="E46" s="9">
        <f t="shared" si="2"/>
        <v>5.500000000000005</v>
      </c>
      <c r="F46" s="9">
        <f t="shared" si="2"/>
        <v>6.050000000000011</v>
      </c>
      <c r="G46" s="9">
        <f t="shared" si="2"/>
        <v>6.654999999999999</v>
      </c>
      <c r="H46" s="9">
        <f t="shared" si="2"/>
        <v>7.320500000000008</v>
      </c>
      <c r="I46" s="9" t="str">
        <f t="shared" si="2"/>
        <v> </v>
      </c>
      <c r="J46" s="9" t="str">
        <f t="shared" si="2"/>
        <v> </v>
      </c>
      <c r="K46" s="9" t="str">
        <f t="shared" si="2"/>
        <v> </v>
      </c>
      <c r="L46" s="9" t="str">
        <f t="shared" si="2"/>
        <v> </v>
      </c>
      <c r="M46" s="9" t="str">
        <f t="shared" si="2"/>
        <v> </v>
      </c>
      <c r="N46" s="9">
        <f>(D7*(1+D38)^E11*(1+E38)-D7*(1+D38)^E11)*E40</f>
        <v>3.221019999999999</v>
      </c>
    </row>
    <row r="47" spans="2:14" s="4" customFormat="1" ht="19.5" customHeight="1">
      <c r="B47" s="40" t="s">
        <v>3</v>
      </c>
      <c r="C47" s="31"/>
      <c r="D47" s="9">
        <f>IF($E$11&lt;D43," ",$D$9*(1+$E$12)^D43)</f>
        <v>11</v>
      </c>
      <c r="E47" s="9">
        <f aca="true" t="shared" si="3" ref="E47:M47">IF($E$11&lt;E43," ",$D$9*(1+$E$12)^E43)</f>
        <v>12.100000000000001</v>
      </c>
      <c r="F47" s="9">
        <f t="shared" si="3"/>
        <v>13.310000000000004</v>
      </c>
      <c r="G47" s="9">
        <f t="shared" si="3"/>
        <v>14.641000000000004</v>
      </c>
      <c r="H47" s="9">
        <f t="shared" si="3"/>
        <v>16.105100000000007</v>
      </c>
      <c r="I47" s="9" t="str">
        <f t="shared" si="3"/>
        <v> </v>
      </c>
      <c r="J47" s="9" t="str">
        <f t="shared" si="3"/>
        <v> </v>
      </c>
      <c r="K47" s="9" t="str">
        <f t="shared" si="3"/>
        <v> </v>
      </c>
      <c r="L47" s="9" t="str">
        <f t="shared" si="3"/>
        <v> </v>
      </c>
      <c r="M47" s="9" t="str">
        <f t="shared" si="3"/>
        <v> </v>
      </c>
      <c r="N47" s="9">
        <f>D9*(1+E12)^E11*(1+E19)</f>
        <v>16.74930400000001</v>
      </c>
    </row>
    <row r="48" spans="2:14" s="4" customFormat="1" ht="19.5" customHeight="1">
      <c r="B48" s="40" t="s">
        <v>46</v>
      </c>
      <c r="C48" s="31"/>
      <c r="D48" s="9">
        <f>IF($E$11&lt;D43," ",D44-D45-D46+D47)</f>
        <v>88.50000000000003</v>
      </c>
      <c r="E48" s="9">
        <f aca="true" t="shared" si="4" ref="E48:M48">IF($E$11&lt;E43," ",E44-E45-E46+E47)</f>
        <v>97.35000000000002</v>
      </c>
      <c r="F48" s="9">
        <f t="shared" si="4"/>
        <v>107.08500000000004</v>
      </c>
      <c r="G48" s="9">
        <f t="shared" si="4"/>
        <v>117.79350000000008</v>
      </c>
      <c r="H48" s="9">
        <f t="shared" si="4"/>
        <v>129.57285000000007</v>
      </c>
      <c r="I48" s="9" t="str">
        <f t="shared" si="4"/>
        <v> </v>
      </c>
      <c r="J48" s="9" t="str">
        <f t="shared" si="4"/>
        <v> </v>
      </c>
      <c r="K48" s="9" t="str">
        <f t="shared" si="4"/>
        <v> </v>
      </c>
      <c r="L48" s="9" t="str">
        <f t="shared" si="4"/>
        <v> </v>
      </c>
      <c r="M48" s="9" t="str">
        <f t="shared" si="4"/>
        <v> </v>
      </c>
      <c r="N48" s="12">
        <f>N44-N45-N46+N47</f>
        <v>111.6620266666667</v>
      </c>
    </row>
    <row r="49" spans="2:14" s="4" customFormat="1" ht="19.5" customHeight="1">
      <c r="B49" s="40" t="s">
        <v>6</v>
      </c>
      <c r="C49" s="31"/>
      <c r="D49" s="9">
        <f aca="true" t="shared" si="5" ref="D49:M49">IF($E$11&lt;D43," ",($D$4/$D$3)*D44)</f>
        <v>33</v>
      </c>
      <c r="E49" s="9">
        <f t="shared" si="5"/>
        <v>36.300000000000004</v>
      </c>
      <c r="F49" s="9">
        <f t="shared" si="5"/>
        <v>39.930000000000014</v>
      </c>
      <c r="G49" s="9">
        <f t="shared" si="5"/>
        <v>43.92300000000002</v>
      </c>
      <c r="H49" s="9">
        <f t="shared" si="5"/>
        <v>48.31530000000003</v>
      </c>
      <c r="I49" s="9" t="str">
        <f t="shared" si="5"/>
        <v> </v>
      </c>
      <c r="J49" s="9" t="str">
        <f t="shared" si="5"/>
        <v> </v>
      </c>
      <c r="K49" s="9" t="str">
        <f t="shared" si="5"/>
        <v> </v>
      </c>
      <c r="L49" s="9" t="str">
        <f t="shared" si="5"/>
        <v> </v>
      </c>
      <c r="M49" s="9" t="str">
        <f t="shared" si="5"/>
        <v> </v>
      </c>
      <c r="N49" s="12"/>
    </row>
    <row r="50" spans="2:14" s="4" customFormat="1" ht="19.5" customHeight="1">
      <c r="B50" s="40" t="s">
        <v>11</v>
      </c>
      <c r="C50" s="31"/>
      <c r="D50" s="21">
        <f aca="true" t="shared" si="6" ref="D50:M50">IF($E$11&lt;D43," ",D48/(1+$D$28)^D43)</f>
        <v>81.19266055045874</v>
      </c>
      <c r="E50" s="21">
        <f t="shared" si="6"/>
        <v>81.93754734449963</v>
      </c>
      <c r="F50" s="21">
        <f t="shared" si="6"/>
        <v>82.68926796233909</v>
      </c>
      <c r="G50" s="21">
        <f t="shared" si="6"/>
        <v>83.44788509960827</v>
      </c>
      <c r="H50" s="21">
        <f t="shared" si="6"/>
        <v>84.21346202712759</v>
      </c>
      <c r="I50" s="21" t="str">
        <f t="shared" si="6"/>
        <v> </v>
      </c>
      <c r="J50" s="21" t="str">
        <f t="shared" si="6"/>
        <v> </v>
      </c>
      <c r="K50" s="21" t="str">
        <f t="shared" si="6"/>
        <v> </v>
      </c>
      <c r="L50" s="21" t="str">
        <f t="shared" si="6"/>
        <v> </v>
      </c>
      <c r="M50" s="21" t="str">
        <f t="shared" si="6"/>
        <v> </v>
      </c>
      <c r="N50" s="34"/>
    </row>
    <row r="51" spans="2:14" s="4" customFormat="1" ht="19.5" customHeight="1">
      <c r="B51" s="40" t="s">
        <v>12</v>
      </c>
      <c r="C51" s="31"/>
      <c r="D51" s="21">
        <f aca="true" t="shared" si="7" ref="D51:M51">IF($E$11&lt;D43," ",D49/(1+$D$28)^D43)</f>
        <v>30.275229357798164</v>
      </c>
      <c r="E51" s="21">
        <f t="shared" si="7"/>
        <v>30.55298375557613</v>
      </c>
      <c r="F51" s="21">
        <f t="shared" si="7"/>
        <v>30.8332863588383</v>
      </c>
      <c r="G51" s="21">
        <f t="shared" si="7"/>
        <v>31.11616054561664</v>
      </c>
      <c r="H51" s="21">
        <f t="shared" si="7"/>
        <v>31.40162990842046</v>
      </c>
      <c r="I51" s="21" t="str">
        <f t="shared" si="7"/>
        <v> </v>
      </c>
      <c r="J51" s="21" t="str">
        <f t="shared" si="7"/>
        <v> </v>
      </c>
      <c r="K51" s="21" t="str">
        <f t="shared" si="7"/>
        <v> </v>
      </c>
      <c r="L51" s="21" t="str">
        <f t="shared" si="7"/>
        <v> </v>
      </c>
      <c r="M51" s="21" t="str">
        <f t="shared" si="7"/>
        <v> </v>
      </c>
      <c r="N51" s="34"/>
    </row>
    <row r="52" spans="2:14" s="4" customFormat="1" ht="19.5" customHeight="1">
      <c r="B52" s="40" t="s">
        <v>4</v>
      </c>
      <c r="C52" s="31"/>
      <c r="D52" s="21">
        <f>IF($E$11&lt;D43," ",D48-D49)</f>
        <v>55.50000000000003</v>
      </c>
      <c r="E52" s="21">
        <f aca="true" t="shared" si="8" ref="E52:M52">IF($E$11&lt;E43," ",D52*(1+$E$41)+E48-E49)</f>
        <v>120.43500000000006</v>
      </c>
      <c r="F52" s="21">
        <f t="shared" si="8"/>
        <v>196.0204500000001</v>
      </c>
      <c r="G52" s="21">
        <f t="shared" si="8"/>
        <v>283.6123815000002</v>
      </c>
      <c r="H52" s="21">
        <f t="shared" si="8"/>
        <v>384.7227982050003</v>
      </c>
      <c r="I52" s="21" t="str">
        <f t="shared" si="8"/>
        <v> </v>
      </c>
      <c r="J52" s="21" t="str">
        <f t="shared" si="8"/>
        <v> </v>
      </c>
      <c r="K52" s="21" t="str">
        <f t="shared" si="8"/>
        <v> </v>
      </c>
      <c r="L52" s="21" t="str">
        <f t="shared" si="8"/>
        <v> </v>
      </c>
      <c r="M52" s="21" t="str">
        <f t="shared" si="8"/>
        <v> </v>
      </c>
      <c r="N52" s="35">
        <f>MAX(D52:M52)</f>
        <v>384.7227982050003</v>
      </c>
    </row>
    <row r="53" spans="2:14" s="4" customFormat="1" ht="19.5" customHeight="1" thickBot="1">
      <c r="B53" s="8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32"/>
    </row>
    <row r="54" spans="5:6" s="4" customFormat="1" ht="19.5" customHeight="1">
      <c r="E54" s="46" t="s">
        <v>7</v>
      </c>
      <c r="F54" s="47" t="s">
        <v>8</v>
      </c>
    </row>
    <row r="55" spans="2:6" s="4" customFormat="1" ht="19.5" customHeight="1">
      <c r="B55" s="4" t="s">
        <v>47</v>
      </c>
      <c r="E55" s="48">
        <f>E19</f>
        <v>0.04</v>
      </c>
      <c r="F55" s="49">
        <f>E55</f>
        <v>0.04</v>
      </c>
    </row>
    <row r="56" spans="2:6" s="4" customFormat="1" ht="19.5" customHeight="1">
      <c r="B56" s="4" t="s">
        <v>32</v>
      </c>
      <c r="E56" s="50">
        <f>N48</f>
        <v>111.6620266666667</v>
      </c>
      <c r="F56" s="51">
        <f>(1-F55/E20)*N44</f>
        <v>111.6620266666667</v>
      </c>
    </row>
    <row r="57" spans="2:6" s="4" customFormat="1" ht="19.5" customHeight="1">
      <c r="B57" s="4" t="s">
        <v>48</v>
      </c>
      <c r="E57" s="48">
        <f>IF(E21="No",D16+D15*D17,D16+E22*D17)</f>
        <v>0.09</v>
      </c>
      <c r="F57" s="49">
        <f>E57</f>
        <v>0.09</v>
      </c>
    </row>
    <row r="58" spans="2:6" s="6" customFormat="1" ht="19.5" customHeight="1">
      <c r="B58" s="6" t="s">
        <v>49</v>
      </c>
      <c r="E58" s="52">
        <f>E56/(E57-E55)</f>
        <v>2233.2405333333345</v>
      </c>
      <c r="F58" s="53">
        <f>F56/(F57-F55)</f>
        <v>2233.2405333333345</v>
      </c>
    </row>
    <row r="59" spans="2:6" s="6" customFormat="1" ht="19.5" customHeight="1" thickBot="1">
      <c r="B59" s="6" t="s">
        <v>9</v>
      </c>
      <c r="E59" s="54"/>
      <c r="F59" s="55">
        <f>N52</f>
        <v>384.7227982050003</v>
      </c>
    </row>
    <row r="60" spans="5:6" s="6" customFormat="1" ht="19.5" customHeight="1">
      <c r="E60" s="31"/>
      <c r="F60" s="30"/>
    </row>
    <row r="61" spans="5:7" s="4" customFormat="1" ht="19.5" customHeight="1">
      <c r="E61" s="8"/>
      <c r="F61" s="42" t="s">
        <v>10</v>
      </c>
      <c r="G61" s="42" t="s">
        <v>8</v>
      </c>
    </row>
    <row r="62" spans="2:7" s="4" customFormat="1" ht="19.5" customHeight="1">
      <c r="B62" s="6" t="s">
        <v>50</v>
      </c>
      <c r="C62" s="6"/>
      <c r="D62" s="6"/>
      <c r="E62" s="14"/>
      <c r="F62" s="43">
        <f>SUM(D50:M50)</f>
        <v>413.4808229840333</v>
      </c>
      <c r="G62" s="44">
        <f>SUM(D51:M51)</f>
        <v>154.17928992624968</v>
      </c>
    </row>
    <row r="63" spans="2:7" s="4" customFormat="1" ht="19.5" customHeight="1">
      <c r="B63" s="6" t="s">
        <v>51</v>
      </c>
      <c r="C63" s="6"/>
      <c r="D63" s="6"/>
      <c r="E63" s="14"/>
      <c r="F63" s="43">
        <f>E58/(1+D28)^E11</f>
        <v>1451.45311576699</v>
      </c>
      <c r="G63" s="45">
        <f>F58/(1+D28)^E11</f>
        <v>1451.45311576699</v>
      </c>
    </row>
    <row r="64" spans="2:7" s="4" customFormat="1" ht="19.5" customHeight="1">
      <c r="B64" s="6" t="s">
        <v>13</v>
      </c>
      <c r="C64" s="6"/>
      <c r="D64" s="6"/>
      <c r="E64" s="14"/>
      <c r="F64" s="43"/>
      <c r="G64" s="45">
        <f>F59/(1+D28)^E11</f>
        <v>250.04342157795438</v>
      </c>
    </row>
    <row r="65" spans="2:8" s="4" customFormat="1" ht="19.5" customHeight="1">
      <c r="B65" s="6" t="s">
        <v>52</v>
      </c>
      <c r="C65" s="6"/>
      <c r="D65" s="6"/>
      <c r="E65" s="14"/>
      <c r="F65" s="43">
        <f>F62+F63</f>
        <v>1864.9339387510233</v>
      </c>
      <c r="G65" s="44">
        <f>SUM(G62:G64)</f>
        <v>1855.6758272711943</v>
      </c>
      <c r="H65" s="32">
        <f>F65-G65</f>
        <v>9.25811147982904</v>
      </c>
    </row>
    <row r="66" spans="5:6" s="4" customFormat="1" ht="19.5" customHeight="1">
      <c r="E66" s="8"/>
      <c r="F66" s="8"/>
    </row>
    <row r="77" ht="12.75">
      <c r="H77" s="56"/>
    </row>
  </sheetData>
  <sheetProtection/>
  <mergeCells count="1">
    <mergeCell ref="C23:G23"/>
  </mergeCells>
  <printOptions/>
  <pageMargins left="0.75" right="0.75" top="1" bottom="1" header="0.5" footer="0.5"/>
  <pageSetup orientation="portrait"/>
  <headerFooter alignWithMargins="0">
    <oddHeader>&amp;C Two-Stage FCFE Discount Model</oddHeader>
    <oddFooter>&amp;CPage &amp;p</oddFooter>
  </headerFooter>
  <rowBreaks count="4" manualBreakCount="4">
    <brk id="19" max="65535" man="1"/>
    <brk id="90" max="65535" man="1"/>
    <brk id="98" max="65535" man="1"/>
    <brk id="140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Radim Krejčí</cp:lastModifiedBy>
  <dcterms:created xsi:type="dcterms:W3CDTF">1998-07-02T05:00:22Z</dcterms:created>
  <dcterms:modified xsi:type="dcterms:W3CDTF">2010-11-10T10:28:02Z</dcterms:modified>
  <cp:category/>
  <cp:version/>
  <cp:contentType/>
  <cp:contentStatus/>
</cp:coreProperties>
</file>